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8_{1D6D463F-D8BF-474C-B658-39DED80F664F}" xr6:coauthVersionLast="36" xr6:coauthVersionMax="36" xr10:uidLastSave="{00000000-0000-0000-0000-000000000000}"/>
  <bookViews>
    <workbookView xWindow="0" yWindow="0" windowWidth="28800" windowHeight="135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C84" i="1"/>
  <c r="C62" i="1"/>
  <c r="C31" i="1" l="1"/>
  <c r="C23" i="1"/>
  <c r="C21" i="1"/>
  <c r="C16" i="1"/>
  <c r="C19" i="1" s="1"/>
  <c r="C24" i="1" l="1"/>
  <c r="C26" i="1" s="1"/>
  <c r="C33" i="1" s="1"/>
  <c r="C98" i="1" l="1"/>
  <c r="C67" i="1"/>
  <c r="C89" i="1"/>
  <c r="C47" i="1"/>
  <c r="C86" i="1"/>
  <c r="C87" i="1"/>
  <c r="C95" i="1"/>
  <c r="C64" i="1"/>
  <c r="C65" i="1"/>
  <c r="C88" i="1" l="1"/>
  <c r="C90" i="1" s="1"/>
  <c r="C66" i="1"/>
  <c r="C68" i="1" s="1"/>
  <c r="C40" i="1"/>
  <c r="C42" i="1" l="1"/>
  <c r="C44" i="1" s="1"/>
  <c r="C46" i="1" s="1"/>
  <c r="C96" i="1" l="1"/>
  <c r="C97" i="1" l="1"/>
  <c r="C99" i="1" s="1"/>
  <c r="C101" i="1" l="1"/>
  <c r="C48" i="1"/>
</calcChain>
</file>

<file path=xl/sharedStrings.xml><?xml version="1.0" encoding="utf-8"?>
<sst xmlns="http://schemas.openxmlformats.org/spreadsheetml/2006/main" count="129" uniqueCount="69">
  <si>
    <t>Jobs generated</t>
  </si>
  <si>
    <t>Employees generated</t>
  </si>
  <si>
    <t>Jobs / 1000 sqft</t>
  </si>
  <si>
    <t>Employees per household</t>
  </si>
  <si>
    <t>Households generated</t>
  </si>
  <si>
    <t>Mitigation rate</t>
  </si>
  <si>
    <t>Mitigation units required</t>
  </si>
  <si>
    <t>Affordability gap per 850 sqft affordable unit</t>
  </si>
  <si>
    <t>Affordable housing mitigation rate</t>
  </si>
  <si>
    <t>Factor</t>
  </si>
  <si>
    <t>Constant</t>
  </si>
  <si>
    <t>Exponent</t>
  </si>
  <si>
    <t>Avg jobs per employee</t>
  </si>
  <si>
    <t>Avg employees per HH</t>
  </si>
  <si>
    <t>x</t>
  </si>
  <si>
    <t>=</t>
  </si>
  <si>
    <t>/1000</t>
  </si>
  <si>
    <t>/</t>
  </si>
  <si>
    <t>Calc.</t>
  </si>
  <si>
    <t>Enter square footage here:</t>
  </si>
  <si>
    <t>Employment generated</t>
  </si>
  <si>
    <t>Affordable units required</t>
  </si>
  <si>
    <r>
      <t>y = 0.0893e</t>
    </r>
    <r>
      <rPr>
        <vertAlign val="superscript"/>
        <sz val="12"/>
        <color theme="1"/>
        <rFont val="Calibri"/>
        <family val="2"/>
        <scheme val="minor"/>
      </rPr>
      <t>0.0003x</t>
    </r>
  </si>
  <si>
    <t>Fee-in-lieu</t>
  </si>
  <si>
    <r>
      <t xml:space="preserve">Step 1:  Calculate </t>
    </r>
    <r>
      <rPr>
        <b/>
        <u/>
        <sz val="12"/>
        <color theme="1"/>
        <rFont val="Calibri"/>
        <family val="2"/>
        <scheme val="minor"/>
      </rPr>
      <t>hypothetical</t>
    </r>
    <r>
      <rPr>
        <b/>
        <sz val="12"/>
        <color theme="1"/>
        <rFont val="Calibri"/>
        <family val="2"/>
        <scheme val="minor"/>
      </rPr>
      <t xml:space="preserve"> (not actual) fee-in-lieu associated with unit BEFORE addition</t>
    </r>
  </si>
  <si>
    <r>
      <t xml:space="preserve">Step 2:  Calculate </t>
    </r>
    <r>
      <rPr>
        <b/>
        <u/>
        <sz val="12"/>
        <color theme="1"/>
        <rFont val="Calibri"/>
        <family val="2"/>
        <scheme val="minor"/>
      </rPr>
      <t>hypothetical</t>
    </r>
    <r>
      <rPr>
        <b/>
        <sz val="12"/>
        <color theme="1"/>
        <rFont val="Calibri"/>
        <family val="2"/>
        <scheme val="minor"/>
      </rPr>
      <t xml:space="preserve"> (not actual) fee-in-lieu associated with TOTAL SQFT of unit AFTER addition</t>
    </r>
  </si>
  <si>
    <t>To calculate the fees, enter the square footage where shown in the respective tables.  The resulting fees are shown at the bottom of each table.</t>
  </si>
  <si>
    <t>Fee in lieu:</t>
  </si>
  <si>
    <t>Fee-in-lieu (step 2 minus step 1):</t>
  </si>
  <si>
    <t>Mortgage term (years)</t>
  </si>
  <si>
    <t>Mortgage term (months)</t>
  </si>
  <si>
    <t>Annual mortgage interest rate</t>
  </si>
  <si>
    <t>Monthly mortgage interest rate</t>
  </si>
  <si>
    <t>Principal paid over life of the loan</t>
  </si>
  <si>
    <t>Down payment as a share of purchase price</t>
  </si>
  <si>
    <t>Affordable purchase price</t>
  </si>
  <si>
    <t>2)  Calculation of market price:</t>
  </si>
  <si>
    <t>Assumed square footage of affordable unit</t>
  </si>
  <si>
    <t>Market price per unit</t>
  </si>
  <si>
    <t>3.  Affordability gap per affordable unit (market price minus affordable price)</t>
  </si>
  <si>
    <t>Share for property tax &amp; mortgage insurance</t>
  </si>
  <si>
    <t>Share for mortgage principal &amp; interest</t>
  </si>
  <si>
    <r>
      <t xml:space="preserve">Affordable mortgage paymt </t>
    </r>
    <r>
      <rPr>
        <sz val="10"/>
        <color theme="1"/>
        <rFont val="Calibri"/>
        <family val="2"/>
        <scheme val="minor"/>
      </rPr>
      <t>(principal &amp; interest)</t>
    </r>
  </si>
  <si>
    <r>
      <t>Affordable monthly hsg payment</t>
    </r>
    <r>
      <rPr>
        <sz val="10"/>
        <color theme="1"/>
        <rFont val="Calibri"/>
        <family val="2"/>
        <scheme val="minor"/>
      </rPr>
      <t xml:space="preserve"> (30% of income)</t>
    </r>
  </si>
  <si>
    <t>Gunnison County 50% AMI, 2 person HH</t>
  </si>
  <si>
    <t>1)  Calculation of affordable price:</t>
  </si>
  <si>
    <t>Enter data here (HUD)</t>
  </si>
  <si>
    <t>Enter data here (Assessor)</t>
  </si>
  <si>
    <t>Update notes</t>
  </si>
  <si>
    <t>1.  Calculation of affordability gap per unit:</t>
  </si>
  <si>
    <t>2.  Calculation of commercial fee-in-lieu:</t>
  </si>
  <si>
    <t>3.  Calculation of residential fee-in-lieu for a NEW project:</t>
  </si>
  <si>
    <t>4.  Calculation of residential fee-in-lieu for an ADDITION:</t>
  </si>
  <si>
    <t>Enter data here (Bankrate.com +1%)</t>
  </si>
  <si>
    <t>y = 0.0000807039*(x-8000) + 0.984369650791295</t>
  </si>
  <si>
    <t>For additional background detail, see "Gunnison County 2018 linkage fees update," prepared for Gunnison County by RRC Associates, May 1, 2018.</t>
  </si>
  <si>
    <t>This spreadsheet can be used to update the Gunnison County affordability gap per unit on an annual or other periodic basis.</t>
  </si>
  <si>
    <t>It can also be used to calculate Gunnison County fees-in-lieu for commercial development, new residential units, and residential additions (for purposes of fee-in-lieu calculations).</t>
  </si>
  <si>
    <t>See Table 1 and enter numbers where shown to update affordability gap.</t>
  </si>
  <si>
    <t>See Tables 2 - 4 for these calculations.</t>
  </si>
  <si>
    <t>For each of these three types of development (commercial, new residential, residential addition), fees in lieu can be calculated under the current fee system and proposed (2018) fee system.</t>
  </si>
  <si>
    <t>Proposed</t>
  </si>
  <si>
    <t>Prepared by RRC Associates, May 1, 2018.  Contact:  David Becher, 303-396-1611 (direct) or 303-449-6558 (office), david@rrcassociates.com.</t>
  </si>
  <si>
    <t>Employment generation formula for &lt;=8000 sqft homes (y=FTEs; x=sqft)</t>
  </si>
  <si>
    <t>Employment generation formula for 8000+ sqft homes (y=FTEs; x=sqft)</t>
  </si>
  <si>
    <t>Explanation of approach:  The fee-in-lieu of an addition is calculated based on the incremental additional square footage added to a home.  The calculations below calculate this incremental fee by comparing the fees-in-lieu that would charged on two hypothetical homes:  1) a new home equal in size to the existing subject home, and 2) a new home equal in size to the subject home after the addition has been completed.</t>
  </si>
  <si>
    <t>Enter sqft of subject home AFTER addition is completed:</t>
  </si>
  <si>
    <t>Enter EXISTING sqft of subject home (BEFORE addition):</t>
  </si>
  <si>
    <r>
      <t xml:space="preserve">Avg sales price per sqft </t>
    </r>
    <r>
      <rPr>
        <sz val="10"/>
        <color theme="1"/>
        <rFont val="Calibri"/>
        <family val="2"/>
        <scheme val="minor"/>
      </rPr>
      <t>(2023: units &lt;= 1700 sqft, between $100 - $700/sqft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</si>
</sst>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$&quot;#,##0"/>
    <numFmt numFmtId="166" formatCode="0.000"/>
    <numFmt numFmtId="167" formatCode="&quot;$&quot;#,##0.00"/>
    <numFmt numFmtId="168" formatCode="0.0000%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1" fillId="3" borderId="0" xfId="0" applyFont="1" applyFill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ill="1" applyAlignment="1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/>
    <xf numFmtId="2" fontId="2" fillId="0" borderId="0" xfId="0" applyNumberFormat="1" applyFont="1" applyFill="1" applyAlignment="1"/>
    <xf numFmtId="9" fontId="2" fillId="0" borderId="0" xfId="0" applyNumberFormat="1" applyFont="1" applyFill="1"/>
    <xf numFmtId="165" fontId="2" fillId="0" borderId="0" xfId="0" applyNumberFormat="1" applyFont="1" applyFill="1"/>
    <xf numFmtId="0" fontId="3" fillId="0" borderId="2" xfId="0" applyFont="1" applyFill="1" applyBorder="1"/>
    <xf numFmtId="17" fontId="3" fillId="0" borderId="2" xfId="0" quotePrefix="1" applyNumberFormat="1" applyFont="1" applyFill="1" applyBorder="1" applyAlignment="1">
      <alignment horizontal="right" wrapText="1"/>
    </xf>
    <xf numFmtId="0" fontId="2" fillId="5" borderId="0" xfId="0" applyFont="1" applyFill="1" applyAlignment="1">
      <alignment horizontal="left"/>
    </xf>
    <xf numFmtId="166" fontId="2" fillId="5" borderId="0" xfId="0" applyNumberFormat="1" applyFont="1" applyFill="1"/>
    <xf numFmtId="0" fontId="3" fillId="0" borderId="2" xfId="0" applyFont="1" applyFill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/>
    <xf numFmtId="165" fontId="2" fillId="0" borderId="0" xfId="0" applyNumberFormat="1" applyFont="1" applyAlignment="1"/>
    <xf numFmtId="0" fontId="2" fillId="5" borderId="0" xfId="0" applyFont="1" applyFill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 quotePrefix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4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/>
    <xf numFmtId="9" fontId="2" fillId="0" borderId="0" xfId="0" applyNumberFormat="1" applyFont="1" applyAlignment="1">
      <alignment wrapText="1"/>
    </xf>
    <xf numFmtId="3" fontId="3" fillId="4" borderId="0" xfId="0" applyNumberFormat="1" applyFont="1" applyFill="1"/>
    <xf numFmtId="0" fontId="6" fillId="3" borderId="0" xfId="0" applyFont="1" applyFill="1"/>
    <xf numFmtId="0" fontId="4" fillId="3" borderId="0" xfId="0" applyFont="1" applyFill="1"/>
    <xf numFmtId="0" fontId="2" fillId="5" borderId="0" xfId="0" quotePrefix="1" applyFont="1" applyFill="1" applyAlignment="1">
      <alignment horizontal="center"/>
    </xf>
    <xf numFmtId="166" fontId="2" fillId="5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 indent="2"/>
    </xf>
    <xf numFmtId="10" fontId="2" fillId="0" borderId="0" xfId="0" applyNumberFormat="1" applyFont="1" applyFill="1" applyAlignment="1">
      <alignment wrapText="1"/>
    </xf>
    <xf numFmtId="0" fontId="3" fillId="0" borderId="0" xfId="0" applyFont="1"/>
    <xf numFmtId="0" fontId="3" fillId="2" borderId="1" xfId="0" applyFont="1" applyFill="1" applyBorder="1"/>
    <xf numFmtId="165" fontId="3" fillId="2" borderId="1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5" borderId="0" xfId="0" quotePrefix="1" applyFill="1" applyAlignment="1">
      <alignment horizontal="center"/>
    </xf>
    <xf numFmtId="165" fontId="2" fillId="5" borderId="0" xfId="0" applyNumberFormat="1" applyFont="1" applyFill="1" applyAlignment="1"/>
    <xf numFmtId="166" fontId="2" fillId="0" borderId="0" xfId="0" applyNumberFormat="1" applyFont="1" applyFill="1" applyAlignment="1">
      <alignment horizontal="right"/>
    </xf>
    <xf numFmtId="0" fontId="8" fillId="0" borderId="0" xfId="0" applyFont="1"/>
    <xf numFmtId="2" fontId="2" fillId="0" borderId="0" xfId="0" applyNumberFormat="1" applyFont="1" applyFill="1"/>
    <xf numFmtId="166" fontId="2" fillId="5" borderId="0" xfId="0" applyNumberFormat="1" applyFont="1" applyFill="1" applyAlignment="1"/>
    <xf numFmtId="167" fontId="2" fillId="0" borderId="0" xfId="0" applyNumberFormat="1" applyFont="1" applyFill="1" applyAlignment="1"/>
    <xf numFmtId="9" fontId="2" fillId="0" borderId="0" xfId="0" applyNumberFormat="1" applyFont="1" applyFill="1" applyAlignment="1"/>
    <xf numFmtId="0" fontId="2" fillId="0" borderId="0" xfId="0" applyNumberFormat="1" applyFont="1" applyFill="1" applyAlignment="1"/>
    <xf numFmtId="168" fontId="2" fillId="0" borderId="0" xfId="0" applyNumberFormat="1" applyFont="1" applyFill="1" applyAlignment="1"/>
    <xf numFmtId="165" fontId="2" fillId="0" borderId="0" xfId="0" applyNumberFormat="1" applyFont="1" applyFill="1" applyAlignment="1"/>
    <xf numFmtId="165" fontId="3" fillId="0" borderId="0" xfId="0" applyNumberFormat="1" applyFont="1" applyFill="1" applyAlignment="1"/>
    <xf numFmtId="0" fontId="3" fillId="0" borderId="0" xfId="0" applyFont="1" applyFill="1" applyAlignment="1">
      <alignment horizontal="left" indent="2"/>
    </xf>
    <xf numFmtId="165" fontId="3" fillId="0" borderId="0" xfId="0" applyNumberFormat="1" applyFont="1" applyFill="1"/>
    <xf numFmtId="0" fontId="3" fillId="6" borderId="0" xfId="0" applyFont="1" applyFill="1" applyAlignment="1"/>
    <xf numFmtId="0" fontId="2" fillId="6" borderId="0" xfId="0" applyFont="1" applyFill="1" applyAlignment="1"/>
    <xf numFmtId="0" fontId="3" fillId="6" borderId="0" xfId="0" applyFont="1" applyFill="1" applyBorder="1" applyAlignment="1">
      <alignment horizontal="left" wrapText="1"/>
    </xf>
    <xf numFmtId="165" fontId="3" fillId="6" borderId="0" xfId="0" applyNumberFormat="1" applyFont="1" applyFill="1" applyBorder="1"/>
    <xf numFmtId="0" fontId="3" fillId="0" borderId="2" xfId="0" applyFont="1" applyFill="1" applyBorder="1" applyAlignment="1">
      <alignment horizontal="left" wrapText="1"/>
    </xf>
    <xf numFmtId="3" fontId="2" fillId="7" borderId="0" xfId="0" applyNumberFormat="1" applyFont="1" applyFill="1"/>
    <xf numFmtId="165" fontId="2" fillId="7" borderId="0" xfId="0" applyNumberFormat="1" applyFont="1" applyFill="1"/>
    <xf numFmtId="0" fontId="2" fillId="7" borderId="0" xfId="0" applyFont="1" applyFill="1" applyAlignment="1"/>
    <xf numFmtId="0" fontId="2" fillId="7" borderId="0" xfId="0" applyFont="1" applyFill="1" applyAlignment="1">
      <alignment horizontal="left"/>
    </xf>
    <xf numFmtId="10" fontId="2" fillId="7" borderId="0" xfId="0" applyNumberFormat="1" applyFont="1" applyFill="1" applyAlignment="1"/>
    <xf numFmtId="0" fontId="2" fillId="7" borderId="0" xfId="0" applyFont="1" applyFill="1" applyAlignment="1">
      <alignment horizontal="left" wrapText="1"/>
    </xf>
    <xf numFmtId="165" fontId="2" fillId="7" borderId="0" xfId="0" applyNumberFormat="1" applyFont="1" applyFill="1" applyAlignment="1"/>
    <xf numFmtId="166" fontId="9" fillId="0" borderId="0" xfId="0" applyNumberFormat="1" applyFont="1" applyFill="1" applyAlignment="1">
      <alignment horizontal="right" wrapText="1"/>
    </xf>
    <xf numFmtId="0" fontId="9" fillId="0" borderId="0" xfId="0" applyFont="1"/>
    <xf numFmtId="0" fontId="9" fillId="0" borderId="0" xfId="0" applyFont="1" applyAlignment="1"/>
    <xf numFmtId="0" fontId="10" fillId="0" borderId="3" xfId="0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2"/>
  <sheetViews>
    <sheetView tabSelected="1" topLeftCell="A16" workbookViewId="0">
      <selection activeCell="E33" sqref="E33"/>
    </sheetView>
  </sheetViews>
  <sheetFormatPr defaultRowHeight="15" x14ac:dyDescent="0.25"/>
  <cols>
    <col min="1" max="1" width="7" bestFit="1" customWidth="1"/>
    <col min="2" max="2" width="57.42578125" bestFit="1" customWidth="1"/>
    <col min="3" max="3" width="20.28515625" bestFit="1" customWidth="1"/>
    <col min="4" max="4" width="35.28515625" bestFit="1" customWidth="1"/>
    <col min="5" max="5" width="52.140625" style="4" bestFit="1" customWidth="1"/>
    <col min="6" max="6" width="10.28515625" style="4" bestFit="1" customWidth="1"/>
    <col min="7" max="7" width="16" style="4" customWidth="1"/>
    <col min="8" max="8" width="26.5703125" style="4" bestFit="1" customWidth="1"/>
  </cols>
  <sheetData>
    <row r="1" spans="1:8" ht="18.75" x14ac:dyDescent="0.3">
      <c r="A1" s="50" t="s">
        <v>56</v>
      </c>
    </row>
    <row r="2" spans="1:8" ht="15.75" x14ac:dyDescent="0.25">
      <c r="A2" s="20" t="s">
        <v>58</v>
      </c>
    </row>
    <row r="3" spans="1:8" ht="18.75" x14ac:dyDescent="0.3">
      <c r="A3" s="50" t="s">
        <v>57</v>
      </c>
    </row>
    <row r="4" spans="1:8" ht="15.75" x14ac:dyDescent="0.25">
      <c r="A4" s="20" t="s">
        <v>59</v>
      </c>
    </row>
    <row r="5" spans="1:8" s="20" customFormat="1" ht="15.75" x14ac:dyDescent="0.25">
      <c r="A5" s="20" t="s">
        <v>60</v>
      </c>
      <c r="E5" s="21"/>
      <c r="F5" s="21"/>
      <c r="G5" s="21"/>
      <c r="H5" s="21"/>
    </row>
    <row r="6" spans="1:8" s="20" customFormat="1" ht="15.75" x14ac:dyDescent="0.25">
      <c r="A6" s="20" t="s">
        <v>26</v>
      </c>
      <c r="E6" s="21"/>
      <c r="F6" s="21"/>
      <c r="G6" s="21"/>
      <c r="H6" s="21"/>
    </row>
    <row r="7" spans="1:8" s="20" customFormat="1" ht="15.75" x14ac:dyDescent="0.25">
      <c r="E7" s="21"/>
      <c r="F7" s="21"/>
      <c r="G7" s="21"/>
      <c r="H7" s="21"/>
    </row>
    <row r="8" spans="1:8" s="74" customFormat="1" ht="12.75" x14ac:dyDescent="0.2">
      <c r="A8" s="74" t="s">
        <v>62</v>
      </c>
      <c r="E8" s="75"/>
      <c r="F8" s="75"/>
      <c r="G8" s="75"/>
      <c r="H8" s="75"/>
    </row>
    <row r="9" spans="1:8" s="74" customFormat="1" ht="12.75" x14ac:dyDescent="0.2">
      <c r="A9" s="74" t="s">
        <v>55</v>
      </c>
      <c r="E9" s="75"/>
      <c r="F9" s="75"/>
      <c r="G9" s="75"/>
      <c r="H9" s="75"/>
    </row>
    <row r="10" spans="1:8" s="20" customFormat="1" ht="15.75" x14ac:dyDescent="0.25">
      <c r="E10" s="21"/>
      <c r="F10" s="21"/>
      <c r="G10" s="21"/>
      <c r="H10" s="21"/>
    </row>
    <row r="12" spans="1:8" ht="21" x14ac:dyDescent="0.35">
      <c r="A12" s="37" t="s">
        <v>49</v>
      </c>
      <c r="B12" s="38"/>
      <c r="C12" s="38"/>
      <c r="D12" s="4"/>
      <c r="G12"/>
      <c r="H12"/>
    </row>
    <row r="13" spans="1:8" ht="15.75" x14ac:dyDescent="0.25">
      <c r="A13" s="20"/>
      <c r="B13" s="11" t="s">
        <v>9</v>
      </c>
      <c r="C13" s="12" t="s">
        <v>61</v>
      </c>
      <c r="D13" s="65" t="s">
        <v>48</v>
      </c>
      <c r="G13"/>
      <c r="H13"/>
    </row>
    <row r="14" spans="1:8" s="20" customFormat="1" ht="15.75" x14ac:dyDescent="0.25">
      <c r="B14" s="61" t="s">
        <v>45</v>
      </c>
      <c r="C14" s="62"/>
      <c r="D14" s="21"/>
      <c r="E14" s="21"/>
      <c r="F14" s="21"/>
    </row>
    <row r="15" spans="1:8" s="20" customFormat="1" ht="15.75" x14ac:dyDescent="0.25">
      <c r="B15" s="66" t="s">
        <v>44</v>
      </c>
      <c r="C15" s="67">
        <v>35400</v>
      </c>
      <c r="D15" s="68" t="s">
        <v>46</v>
      </c>
      <c r="E15" s="34"/>
      <c r="F15" s="21"/>
    </row>
    <row r="16" spans="1:8" s="22" customFormat="1" ht="15.75" x14ac:dyDescent="0.25">
      <c r="A16" s="20"/>
      <c r="B16" s="6" t="s">
        <v>43</v>
      </c>
      <c r="C16" s="53">
        <f>C15/12*0.3</f>
        <v>885</v>
      </c>
      <c r="D16" s="34"/>
      <c r="F16" s="34"/>
    </row>
    <row r="17" spans="1:6" s="22" customFormat="1" ht="15.75" x14ac:dyDescent="0.25">
      <c r="A17" s="20"/>
      <c r="B17" s="6" t="s">
        <v>40</v>
      </c>
      <c r="C17" s="54">
        <v>0.2</v>
      </c>
      <c r="D17" s="34"/>
      <c r="F17" s="34"/>
    </row>
    <row r="18" spans="1:6" s="22" customFormat="1" ht="15.75" x14ac:dyDescent="0.25">
      <c r="A18" s="20"/>
      <c r="B18" s="6" t="s">
        <v>41</v>
      </c>
      <c r="C18" s="54">
        <v>0.8</v>
      </c>
      <c r="D18" s="34"/>
      <c r="E18" s="34"/>
      <c r="F18" s="34"/>
    </row>
    <row r="19" spans="1:6" s="22" customFormat="1" ht="15.75" x14ac:dyDescent="0.25">
      <c r="A19" s="20"/>
      <c r="B19" s="6" t="s">
        <v>42</v>
      </c>
      <c r="C19" s="53">
        <f>C16*C18</f>
        <v>708</v>
      </c>
      <c r="D19" s="34"/>
      <c r="E19" s="34"/>
      <c r="F19" s="34"/>
    </row>
    <row r="20" spans="1:6" s="22" customFormat="1" ht="15.75" x14ac:dyDescent="0.25">
      <c r="A20" s="20"/>
      <c r="B20" s="6" t="s">
        <v>29</v>
      </c>
      <c r="C20" s="55">
        <v>30</v>
      </c>
      <c r="D20" s="34"/>
      <c r="E20" s="34"/>
      <c r="F20" s="34"/>
    </row>
    <row r="21" spans="1:6" s="22" customFormat="1" ht="15.75" x14ac:dyDescent="0.25">
      <c r="A21" s="20"/>
      <c r="B21" s="6" t="s">
        <v>30</v>
      </c>
      <c r="C21" s="55">
        <f>C20*12</f>
        <v>360</v>
      </c>
      <c r="D21" s="34"/>
      <c r="E21" s="34"/>
      <c r="F21" s="34"/>
    </row>
    <row r="22" spans="1:6" s="22" customFormat="1" ht="15.75" x14ac:dyDescent="0.25">
      <c r="A22" s="20"/>
      <c r="B22" s="69" t="s">
        <v>31</v>
      </c>
      <c r="C22" s="70">
        <v>8.0600000000000005E-2</v>
      </c>
      <c r="D22" s="68" t="s">
        <v>53</v>
      </c>
      <c r="E22" s="34"/>
      <c r="F22" s="34"/>
    </row>
    <row r="23" spans="1:6" s="20" customFormat="1" ht="15.75" x14ac:dyDescent="0.25">
      <c r="B23" s="6" t="s">
        <v>32</v>
      </c>
      <c r="C23" s="56">
        <f>C22/12</f>
        <v>6.7166666666666668E-3</v>
      </c>
      <c r="D23" s="21"/>
      <c r="E23" s="21"/>
      <c r="F23" s="21"/>
    </row>
    <row r="24" spans="1:6" s="22" customFormat="1" ht="15.75" x14ac:dyDescent="0.25">
      <c r="A24" s="20"/>
      <c r="B24" s="6" t="s">
        <v>33</v>
      </c>
      <c r="C24" s="57">
        <f>-PV(C23,C21,C19)</f>
        <v>95941.252483355172</v>
      </c>
      <c r="D24" s="34"/>
      <c r="E24" s="34"/>
      <c r="F24" s="34"/>
    </row>
    <row r="25" spans="1:6" s="20" customFormat="1" ht="15.75" x14ac:dyDescent="0.25">
      <c r="B25" s="6" t="s">
        <v>34</v>
      </c>
      <c r="C25" s="54">
        <v>0.05</v>
      </c>
      <c r="D25" s="21"/>
      <c r="E25" s="21"/>
      <c r="F25" s="21"/>
    </row>
    <row r="26" spans="1:6" s="20" customFormat="1" ht="15.75" x14ac:dyDescent="0.25">
      <c r="B26" s="59" t="s">
        <v>35</v>
      </c>
      <c r="C26" s="58">
        <f>C24/0.95</f>
        <v>100990.79208774229</v>
      </c>
      <c r="D26" s="21"/>
      <c r="E26" s="21"/>
      <c r="F26" s="21"/>
    </row>
    <row r="27" spans="1:6" s="20" customFormat="1" ht="15.75" x14ac:dyDescent="0.25">
      <c r="B27" s="34"/>
      <c r="C27" s="34"/>
      <c r="D27" s="21"/>
      <c r="E27" s="21"/>
      <c r="F27" s="21"/>
    </row>
    <row r="28" spans="1:6" s="20" customFormat="1" ht="15.75" x14ac:dyDescent="0.25">
      <c r="B28" s="61" t="s">
        <v>36</v>
      </c>
      <c r="C28" s="62"/>
      <c r="D28" s="21"/>
      <c r="E28" s="21"/>
      <c r="F28" s="21"/>
    </row>
    <row r="29" spans="1:6" s="20" customFormat="1" ht="29.25" x14ac:dyDescent="0.25">
      <c r="B29" s="71" t="s">
        <v>68</v>
      </c>
      <c r="C29" s="72">
        <v>422</v>
      </c>
      <c r="D29" s="68" t="s">
        <v>47</v>
      </c>
      <c r="E29" s="21"/>
      <c r="F29" s="21"/>
    </row>
    <row r="30" spans="1:6" s="20" customFormat="1" ht="15.75" x14ac:dyDescent="0.25">
      <c r="B30" s="6" t="s">
        <v>37</v>
      </c>
      <c r="C30" s="34">
        <v>850</v>
      </c>
      <c r="D30" s="34"/>
      <c r="E30" s="21"/>
      <c r="F30" s="21"/>
    </row>
    <row r="31" spans="1:6" s="20" customFormat="1" ht="15.75" x14ac:dyDescent="0.25">
      <c r="B31" s="59" t="s">
        <v>38</v>
      </c>
      <c r="C31" s="60">
        <f>C29*C30</f>
        <v>358700</v>
      </c>
      <c r="D31" s="21"/>
      <c r="E31" s="21"/>
      <c r="F31" s="21"/>
    </row>
    <row r="32" spans="1:6" s="20" customFormat="1" ht="15.75" x14ac:dyDescent="0.25">
      <c r="B32" s="59"/>
      <c r="C32" s="60"/>
      <c r="D32" s="21"/>
      <c r="E32" s="21"/>
      <c r="F32" s="21"/>
    </row>
    <row r="33" spans="1:8" s="20" customFormat="1" ht="31.5" x14ac:dyDescent="0.25">
      <c r="B33" s="63" t="s">
        <v>39</v>
      </c>
      <c r="C33" s="64">
        <f>C31-C26</f>
        <v>257709.2079122577</v>
      </c>
      <c r="D33" s="21"/>
      <c r="E33" s="21"/>
      <c r="F33" s="21"/>
    </row>
    <row r="34" spans="1:8" x14ac:dyDescent="0.25">
      <c r="C34" s="3"/>
      <c r="D34" s="4"/>
      <c r="G34"/>
      <c r="H34"/>
    </row>
    <row r="36" spans="1:8" ht="21" x14ac:dyDescent="0.35">
      <c r="A36" s="37" t="s">
        <v>50</v>
      </c>
      <c r="B36" s="38"/>
      <c r="C36" s="38"/>
      <c r="D36" s="4"/>
      <c r="G36"/>
      <c r="H36"/>
    </row>
    <row r="37" spans="1:8" ht="15.75" x14ac:dyDescent="0.25">
      <c r="A37" s="15" t="s">
        <v>18</v>
      </c>
      <c r="B37" s="11" t="s">
        <v>9</v>
      </c>
      <c r="C37" s="12" t="s">
        <v>61</v>
      </c>
      <c r="D37" s="4"/>
      <c r="G37"/>
      <c r="H37"/>
    </row>
    <row r="38" spans="1:8" ht="15.75" x14ac:dyDescent="0.25">
      <c r="A38" s="16" t="s">
        <v>16</v>
      </c>
      <c r="B38" s="36" t="s">
        <v>19</v>
      </c>
      <c r="C38" s="36">
        <v>1000</v>
      </c>
      <c r="D38" s="4"/>
      <c r="E38" s="5"/>
      <c r="G38"/>
      <c r="H38"/>
    </row>
    <row r="39" spans="1:8" s="1" customFormat="1" ht="15.75" x14ac:dyDescent="0.25">
      <c r="A39" s="17" t="s">
        <v>14</v>
      </c>
      <c r="B39" s="6" t="s">
        <v>2</v>
      </c>
      <c r="C39" s="7">
        <v>3.3</v>
      </c>
      <c r="D39" s="5"/>
      <c r="E39" s="5"/>
      <c r="F39" s="5"/>
    </row>
    <row r="40" spans="1:8" s="1" customFormat="1" ht="15.75" x14ac:dyDescent="0.25">
      <c r="A40" s="18" t="s">
        <v>15</v>
      </c>
      <c r="B40" s="13" t="s">
        <v>0</v>
      </c>
      <c r="C40" s="52">
        <f t="shared" ref="C40" si="0">C38/1000*C39</f>
        <v>3.3</v>
      </c>
      <c r="D40" s="5"/>
      <c r="F40" s="5"/>
    </row>
    <row r="41" spans="1:8" s="1" customFormat="1" ht="15.75" x14ac:dyDescent="0.25">
      <c r="A41" s="17" t="s">
        <v>17</v>
      </c>
      <c r="B41" s="6" t="s">
        <v>12</v>
      </c>
      <c r="C41" s="8">
        <v>1.24</v>
      </c>
      <c r="D41" s="5"/>
      <c r="E41" s="5"/>
      <c r="F41" s="5"/>
    </row>
    <row r="42" spans="1:8" s="1" customFormat="1" ht="15.75" x14ac:dyDescent="0.25">
      <c r="A42" s="18" t="s">
        <v>15</v>
      </c>
      <c r="B42" s="13" t="s">
        <v>1</v>
      </c>
      <c r="C42" s="52">
        <f t="shared" ref="C42" si="1">C40/C41</f>
        <v>2.661290322580645</v>
      </c>
      <c r="D42" s="5"/>
      <c r="E42" s="5"/>
      <c r="F42" s="5"/>
    </row>
    <row r="43" spans="1:8" s="1" customFormat="1" ht="15.75" x14ac:dyDescent="0.25">
      <c r="A43" s="17" t="s">
        <v>17</v>
      </c>
      <c r="B43" s="6" t="s">
        <v>13</v>
      </c>
      <c r="C43" s="8">
        <v>1.77</v>
      </c>
      <c r="D43" s="5"/>
      <c r="E43" s="5"/>
      <c r="F43" s="5"/>
    </row>
    <row r="44" spans="1:8" s="1" customFormat="1" ht="15.75" x14ac:dyDescent="0.25">
      <c r="A44" s="18" t="s">
        <v>15</v>
      </c>
      <c r="B44" s="13" t="s">
        <v>4</v>
      </c>
      <c r="C44" s="14">
        <f t="shared" ref="C44" si="2">C42/C43</f>
        <v>1.5035538545653362</v>
      </c>
      <c r="D44" s="5"/>
      <c r="E44" s="5"/>
      <c r="F44" s="5"/>
    </row>
    <row r="45" spans="1:8" s="1" customFormat="1" ht="15.75" x14ac:dyDescent="0.25">
      <c r="A45" s="17" t="s">
        <v>14</v>
      </c>
      <c r="B45" s="6" t="s">
        <v>8</v>
      </c>
      <c r="C45" s="9">
        <v>0.01</v>
      </c>
      <c r="D45" s="5"/>
      <c r="E45" s="5"/>
      <c r="F45" s="5"/>
    </row>
    <row r="46" spans="1:8" ht="15.75" x14ac:dyDescent="0.25">
      <c r="A46" s="18" t="s">
        <v>15</v>
      </c>
      <c r="B46" s="13" t="s">
        <v>6</v>
      </c>
      <c r="C46" s="14">
        <f t="shared" ref="C46" si="3">C44*C45</f>
        <v>1.5035538545653362E-2</v>
      </c>
      <c r="D46" s="4"/>
      <c r="G46"/>
      <c r="H46"/>
    </row>
    <row r="47" spans="1:8" s="1" customFormat="1" ht="15.75" x14ac:dyDescent="0.25">
      <c r="A47" s="17" t="s">
        <v>14</v>
      </c>
      <c r="B47" s="6" t="s">
        <v>7</v>
      </c>
      <c r="C47" s="10">
        <f>C33</f>
        <v>257709.2079122577</v>
      </c>
      <c r="D47" s="5"/>
      <c r="E47" s="5"/>
      <c r="F47" s="5"/>
    </row>
    <row r="48" spans="1:8" ht="16.5" thickBot="1" x14ac:dyDescent="0.3">
      <c r="A48" s="19" t="s">
        <v>15</v>
      </c>
      <c r="B48" s="26" t="s">
        <v>27</v>
      </c>
      <c r="C48" s="27">
        <f>C46*C47</f>
        <v>3874.7967291345471</v>
      </c>
      <c r="D48" s="4"/>
      <c r="G48"/>
      <c r="H48"/>
    </row>
    <row r="49" spans="1:8" ht="15.75" thickTop="1" x14ac:dyDescent="0.25">
      <c r="C49" s="3"/>
      <c r="D49" s="4"/>
      <c r="G49"/>
      <c r="H49"/>
    </row>
    <row r="51" spans="1:8" ht="21" x14ac:dyDescent="0.35">
      <c r="A51" s="37" t="s">
        <v>51</v>
      </c>
      <c r="B51" s="38"/>
      <c r="C51" s="2"/>
    </row>
    <row r="52" spans="1:8" ht="15.75" x14ac:dyDescent="0.25">
      <c r="A52" s="15" t="s">
        <v>18</v>
      </c>
      <c r="B52" s="11" t="s">
        <v>9</v>
      </c>
      <c r="C52" s="12" t="s">
        <v>61</v>
      </c>
      <c r="D52" s="4"/>
      <c r="G52"/>
      <c r="H52"/>
    </row>
    <row r="53" spans="1:8" ht="15.75" x14ac:dyDescent="0.25">
      <c r="A53" s="28"/>
      <c r="B53" s="36" t="s">
        <v>19</v>
      </c>
      <c r="C53" s="36">
        <v>4050</v>
      </c>
    </row>
    <row r="54" spans="1:8" s="20" customFormat="1" ht="8.25" customHeight="1" x14ac:dyDescent="0.25">
      <c r="A54" s="30"/>
      <c r="C54" s="31"/>
      <c r="E54" s="21"/>
      <c r="F54" s="21"/>
      <c r="G54" s="21"/>
      <c r="H54" s="21"/>
    </row>
    <row r="55" spans="1:8" s="20" customFormat="1" ht="31.5" x14ac:dyDescent="0.25">
      <c r="A55" s="17"/>
      <c r="B55" s="46" t="s">
        <v>63</v>
      </c>
      <c r="C55" s="49" t="s">
        <v>22</v>
      </c>
      <c r="E55" s="21"/>
      <c r="F55" s="21"/>
      <c r="G55" s="21"/>
      <c r="H55" s="21"/>
    </row>
    <row r="56" spans="1:8" s="22" customFormat="1" ht="15.75" x14ac:dyDescent="0.25">
      <c r="A56" s="17"/>
      <c r="B56" s="41" t="s">
        <v>10</v>
      </c>
      <c r="C56" s="22">
        <v>8.9300000000000004E-2</v>
      </c>
      <c r="E56" s="34"/>
      <c r="F56" s="34"/>
      <c r="G56" s="34"/>
      <c r="H56" s="34"/>
    </row>
    <row r="57" spans="1:8" s="20" customFormat="1" ht="15.75" x14ac:dyDescent="0.25">
      <c r="A57" s="17"/>
      <c r="B57" s="41" t="s">
        <v>11</v>
      </c>
      <c r="C57" s="22">
        <v>2.9999999999999997E-4</v>
      </c>
      <c r="E57" s="21"/>
      <c r="F57" s="21"/>
      <c r="G57" s="21"/>
      <c r="H57" s="21"/>
    </row>
    <row r="58" spans="1:8" s="20" customFormat="1" ht="8.25" customHeight="1" x14ac:dyDescent="0.25">
      <c r="A58" s="17"/>
      <c r="B58" s="41"/>
      <c r="C58" s="22"/>
      <c r="E58" s="21"/>
      <c r="F58" s="21"/>
      <c r="G58" s="21"/>
      <c r="H58" s="21"/>
    </row>
    <row r="59" spans="1:8" s="20" customFormat="1" ht="39" x14ac:dyDescent="0.25">
      <c r="A59" s="17"/>
      <c r="B59" s="46" t="s">
        <v>64</v>
      </c>
      <c r="C59" s="73" t="s">
        <v>54</v>
      </c>
      <c r="E59" s="21"/>
      <c r="F59" s="21"/>
      <c r="G59" s="21"/>
      <c r="H59" s="21"/>
    </row>
    <row r="60" spans="1:8" s="20" customFormat="1" ht="15.75" x14ac:dyDescent="0.25">
      <c r="A60" s="17"/>
      <c r="B60" s="41"/>
      <c r="C60" s="22"/>
      <c r="E60" s="21"/>
      <c r="F60" s="21"/>
      <c r="G60" s="21"/>
      <c r="H60" s="21"/>
    </row>
    <row r="61" spans="1:8" s="22" customFormat="1" ht="8.25" customHeight="1" x14ac:dyDescent="0.25">
      <c r="A61" s="17"/>
      <c r="C61" s="6"/>
      <c r="E61" s="34"/>
      <c r="F61" s="34"/>
      <c r="G61" s="34"/>
      <c r="H61" s="34"/>
    </row>
    <row r="62" spans="1:8" s="20" customFormat="1" ht="15.75" x14ac:dyDescent="0.25">
      <c r="A62" s="39" t="s">
        <v>15</v>
      </c>
      <c r="B62" s="24" t="s">
        <v>20</v>
      </c>
      <c r="C62" s="14">
        <f>IF(C53=0,0,IF(C53&lt;=8000,C56*EXP(C57*C53),(0.0000807039*(C53-8000) + 0.984369650791295)))</f>
        <v>0.30096725994391949</v>
      </c>
      <c r="E62" s="21"/>
      <c r="F62" s="21"/>
      <c r="G62" s="21"/>
      <c r="H62" s="21"/>
    </row>
    <row r="63" spans="1:8" s="22" customFormat="1" ht="15.75" x14ac:dyDescent="0.25">
      <c r="A63" s="33" t="s">
        <v>17</v>
      </c>
      <c r="B63" s="22" t="s">
        <v>3</v>
      </c>
      <c r="C63" s="51">
        <v>1.77</v>
      </c>
      <c r="E63" s="34"/>
      <c r="F63" s="34"/>
      <c r="G63" s="34"/>
      <c r="H63" s="34"/>
    </row>
    <row r="64" spans="1:8" s="22" customFormat="1" ht="15.75" x14ac:dyDescent="0.25">
      <c r="A64" s="39" t="s">
        <v>15</v>
      </c>
      <c r="B64" s="24" t="s">
        <v>4</v>
      </c>
      <c r="C64" s="14">
        <f t="shared" ref="C64" si="4">C62/C63</f>
        <v>0.17003799996831609</v>
      </c>
      <c r="E64" s="34"/>
      <c r="F64" s="34"/>
      <c r="G64" s="34"/>
      <c r="H64" s="34"/>
    </row>
    <row r="65" spans="1:8" s="22" customFormat="1" ht="15.75" x14ac:dyDescent="0.25">
      <c r="A65" s="17" t="s">
        <v>14</v>
      </c>
      <c r="B65" s="22" t="s">
        <v>5</v>
      </c>
      <c r="C65" s="42">
        <f>IF(C53&lt;=500,0,(IF(AND(C53&gt;500,C53&lt;=2000),0.05,IF(AND(C53&gt;=2000,C53&lt;=4000),((4000-C53)/2000*-0.35+0.4),0.4))))</f>
        <v>0.4</v>
      </c>
      <c r="E65" s="34"/>
      <c r="F65" s="34"/>
      <c r="G65" s="34"/>
      <c r="H65" s="34"/>
    </row>
    <row r="66" spans="1:8" s="20" customFormat="1" ht="15.75" x14ac:dyDescent="0.25">
      <c r="A66" s="39" t="s">
        <v>15</v>
      </c>
      <c r="B66" s="24" t="s">
        <v>21</v>
      </c>
      <c r="C66" s="40">
        <f>C62*C65/C$85</f>
        <v>6.8015199987326441E-2</v>
      </c>
      <c r="E66" s="21"/>
      <c r="F66" s="21"/>
      <c r="G66" s="21"/>
      <c r="H66" s="21"/>
    </row>
    <row r="67" spans="1:8" s="22" customFormat="1" ht="15.75" x14ac:dyDescent="0.25">
      <c r="A67" s="17" t="s">
        <v>14</v>
      </c>
      <c r="B67" s="6" t="s">
        <v>7</v>
      </c>
      <c r="C67" s="10">
        <f>C33</f>
        <v>257709.2079122577</v>
      </c>
      <c r="D67" s="34"/>
      <c r="E67" s="34"/>
      <c r="F67" s="34"/>
    </row>
    <row r="68" spans="1:8" s="20" customFormat="1" ht="16.5" thickBot="1" x14ac:dyDescent="0.3">
      <c r="A68" s="19" t="s">
        <v>15</v>
      </c>
      <c r="B68" s="26" t="s">
        <v>27</v>
      </c>
      <c r="C68" s="27">
        <f>IF(C53=0,0,C$89*C66)</f>
        <v>17528.143314727698</v>
      </c>
      <c r="E68" s="21"/>
      <c r="F68" s="21"/>
      <c r="G68" s="21"/>
      <c r="H68" s="21"/>
    </row>
    <row r="69" spans="1:8" ht="15.75" thickTop="1" x14ac:dyDescent="0.25"/>
    <row r="71" spans="1:8" ht="21" x14ac:dyDescent="0.35">
      <c r="A71" s="37" t="s">
        <v>52</v>
      </c>
      <c r="B71" s="38"/>
      <c r="C71" s="2"/>
    </row>
    <row r="72" spans="1:8" ht="61.5" customHeight="1" x14ac:dyDescent="0.25">
      <c r="A72" s="76" t="s">
        <v>65</v>
      </c>
      <c r="B72" s="77"/>
      <c r="C72" s="77"/>
      <c r="D72" s="4"/>
      <c r="G72"/>
      <c r="H72"/>
    </row>
    <row r="73" spans="1:8" ht="15.75" x14ac:dyDescent="0.25">
      <c r="A73" s="15" t="s">
        <v>18</v>
      </c>
      <c r="B73" s="11" t="s">
        <v>9</v>
      </c>
      <c r="C73" s="12" t="s">
        <v>61</v>
      </c>
      <c r="D73" s="4"/>
      <c r="G73"/>
      <c r="H73"/>
    </row>
    <row r="74" spans="1:8" ht="15.75" x14ac:dyDescent="0.25">
      <c r="B74" s="36" t="s">
        <v>67</v>
      </c>
      <c r="C74" s="36">
        <v>8000</v>
      </c>
    </row>
    <row r="75" spans="1:8" ht="15.75" x14ac:dyDescent="0.25">
      <c r="B75" s="36" t="s">
        <v>66</v>
      </c>
      <c r="C75" s="36">
        <v>9000</v>
      </c>
    </row>
    <row r="76" spans="1:8" s="20" customFormat="1" ht="8.25" customHeight="1" x14ac:dyDescent="0.25">
      <c r="A76" s="30"/>
      <c r="C76" s="31"/>
      <c r="E76" s="21"/>
      <c r="F76" s="21"/>
      <c r="G76" s="21"/>
      <c r="H76" s="21"/>
    </row>
    <row r="77" spans="1:8" ht="31.5" x14ac:dyDescent="0.25">
      <c r="B77" s="46" t="s">
        <v>63</v>
      </c>
      <c r="C77" s="49" t="s">
        <v>22</v>
      </c>
    </row>
    <row r="78" spans="1:8" ht="15.75" x14ac:dyDescent="0.25">
      <c r="B78" s="32" t="s">
        <v>10</v>
      </c>
      <c r="C78" s="20">
        <v>8.9300000000000004E-2</v>
      </c>
    </row>
    <row r="79" spans="1:8" ht="15.75" x14ac:dyDescent="0.25">
      <c r="B79" s="32" t="s">
        <v>11</v>
      </c>
      <c r="C79" s="20">
        <v>2.9999999999999997E-4</v>
      </c>
    </row>
    <row r="80" spans="1:8" s="20" customFormat="1" ht="8.25" customHeight="1" x14ac:dyDescent="0.25">
      <c r="A80" s="30"/>
      <c r="C80" s="31"/>
      <c r="E80" s="21"/>
      <c r="F80" s="21"/>
      <c r="G80" s="21"/>
      <c r="H80" s="21"/>
    </row>
    <row r="81" spans="1:8" s="20" customFormat="1" ht="39" x14ac:dyDescent="0.25">
      <c r="A81" s="17"/>
      <c r="B81" s="46" t="s">
        <v>64</v>
      </c>
      <c r="C81" s="73" t="s">
        <v>54</v>
      </c>
      <c r="E81" s="21"/>
      <c r="F81" s="21"/>
      <c r="G81" s="21"/>
      <c r="H81" s="21"/>
    </row>
    <row r="82" spans="1:8" s="20" customFormat="1" ht="15.75" x14ac:dyDescent="0.25">
      <c r="A82" s="17"/>
      <c r="B82" s="41"/>
      <c r="C82" s="22"/>
      <c r="E82" s="21"/>
      <c r="F82" s="21"/>
      <c r="G82" s="21"/>
      <c r="H82" s="21"/>
    </row>
    <row r="83" spans="1:8" s="20" customFormat="1" ht="15.75" x14ac:dyDescent="0.25">
      <c r="A83" s="30"/>
      <c r="B83" s="43" t="s">
        <v>24</v>
      </c>
      <c r="C83" s="31"/>
      <c r="E83" s="21"/>
      <c r="F83" s="21"/>
      <c r="G83" s="21"/>
      <c r="H83" s="21"/>
    </row>
    <row r="84" spans="1:8" ht="15.75" x14ac:dyDescent="0.25">
      <c r="A84" s="47" t="s">
        <v>15</v>
      </c>
      <c r="B84" s="24" t="s">
        <v>20</v>
      </c>
      <c r="C84" s="14">
        <f>IF(C74=0,0,IF(C74&lt;=8000,C$78*EXP(C$79*C74),(0.0000807039*(C74-8000) + 0.984369650791295)))</f>
        <v>0.98436965079129501</v>
      </c>
    </row>
    <row r="85" spans="1:8" s="1" customFormat="1" ht="15.75" x14ac:dyDescent="0.25">
      <c r="A85" s="29" t="s">
        <v>17</v>
      </c>
      <c r="B85" s="22" t="s">
        <v>3</v>
      </c>
      <c r="C85" s="51">
        <v>1.77</v>
      </c>
      <c r="E85" s="5"/>
      <c r="F85" s="5"/>
      <c r="G85" s="5"/>
      <c r="H85" s="5"/>
    </row>
    <row r="86" spans="1:8" ht="15.75" x14ac:dyDescent="0.25">
      <c r="A86" s="47" t="s">
        <v>15</v>
      </c>
      <c r="B86" s="24" t="s">
        <v>4</v>
      </c>
      <c r="C86" s="14">
        <f t="shared" ref="C86" si="5">C84/C85</f>
        <v>0.55614104564479949</v>
      </c>
    </row>
    <row r="87" spans="1:8" s="1" customFormat="1" ht="15.75" x14ac:dyDescent="0.25">
      <c r="A87" s="17" t="s">
        <v>14</v>
      </c>
      <c r="B87" s="22" t="s">
        <v>5</v>
      </c>
      <c r="C87" s="42">
        <f t="shared" ref="C87" si="6">IF(C74&lt;=500,0,(IF(AND(C74&gt;500,C74&lt;=2000),0.05,IF(AND(C74&gt;=2000,C74&lt;=4000),((4000-C74)/2000*-0.35+0.4),0.4))))</f>
        <v>0.4</v>
      </c>
      <c r="E87" s="5"/>
      <c r="F87" s="5"/>
      <c r="G87" s="5"/>
      <c r="H87" s="5"/>
    </row>
    <row r="88" spans="1:8" ht="15.75" x14ac:dyDescent="0.25">
      <c r="A88" s="47" t="s">
        <v>15</v>
      </c>
      <c r="B88" s="24" t="s">
        <v>21</v>
      </c>
      <c r="C88" s="40">
        <f t="shared" ref="C88" si="7">C86*C87</f>
        <v>0.22245641825791981</v>
      </c>
    </row>
    <row r="89" spans="1:8" s="1" customFormat="1" ht="15.75" x14ac:dyDescent="0.25">
      <c r="A89" s="17" t="s">
        <v>14</v>
      </c>
      <c r="B89" s="6" t="s">
        <v>7</v>
      </c>
      <c r="C89" s="10">
        <f>C33</f>
        <v>257709.2079122577</v>
      </c>
      <c r="D89" s="5"/>
      <c r="E89" s="5"/>
      <c r="F89" s="5"/>
    </row>
    <row r="90" spans="1:8" ht="15.75" x14ac:dyDescent="0.25">
      <c r="A90" s="47" t="s">
        <v>15</v>
      </c>
      <c r="B90" s="24" t="s">
        <v>23</v>
      </c>
      <c r="C90" s="48">
        <f t="shared" ref="C90" si="8">IF(C74=0,0,C$89*C88)</f>
        <v>57329.067344246418</v>
      </c>
    </row>
    <row r="91" spans="1:8" ht="15.75" x14ac:dyDescent="0.25">
      <c r="A91" s="28"/>
      <c r="B91" s="20"/>
      <c r="C91" s="35"/>
    </row>
    <row r="92" spans="1:8" s="20" customFormat="1" ht="15.75" x14ac:dyDescent="0.25">
      <c r="A92" s="30"/>
      <c r="B92" s="43" t="s">
        <v>25</v>
      </c>
      <c r="C92" s="31"/>
      <c r="E92" s="21"/>
      <c r="F92" s="21"/>
      <c r="G92" s="21"/>
      <c r="H92" s="21"/>
    </row>
    <row r="93" spans="1:8" ht="15.75" x14ac:dyDescent="0.25">
      <c r="A93" s="47" t="s">
        <v>15</v>
      </c>
      <c r="B93" s="24" t="s">
        <v>20</v>
      </c>
      <c r="C93" s="14">
        <f>IF(C75=0,0,IF(C75&lt;=8000,C$78*EXP(C$79*C75),(0.0000727039*(C75-7200) + 0.984369650791295)))</f>
        <v>1.1152366707912951</v>
      </c>
    </row>
    <row r="94" spans="1:8" s="1" customFormat="1" ht="15.75" x14ac:dyDescent="0.25">
      <c r="A94" s="29" t="s">
        <v>17</v>
      </c>
      <c r="B94" s="22" t="s">
        <v>3</v>
      </c>
      <c r="C94" s="51">
        <v>1.77</v>
      </c>
      <c r="E94" s="5"/>
      <c r="F94" s="5"/>
      <c r="G94" s="5"/>
      <c r="H94" s="5"/>
    </row>
    <row r="95" spans="1:8" ht="15.75" x14ac:dyDescent="0.25">
      <c r="A95" s="47" t="s">
        <v>15</v>
      </c>
      <c r="B95" s="24" t="s">
        <v>4</v>
      </c>
      <c r="C95" s="14">
        <f>IF(C79&gt;0,C$78*EXP(C$79*C79),0)</f>
        <v>8.9300008037000375E-2</v>
      </c>
    </row>
    <row r="96" spans="1:8" s="1" customFormat="1" ht="15.75" x14ac:dyDescent="0.25">
      <c r="A96" s="17" t="s">
        <v>14</v>
      </c>
      <c r="B96" s="22" t="s">
        <v>5</v>
      </c>
      <c r="C96" s="42">
        <f>IF(C75&lt;=500,0,(IF(AND(C75&gt;500,C75&lt;=2000),0.05,IF(AND(C75&gt;=2000,C75&lt;=4000),((4000-C75)/2000*-0.35+0.4),0.4))))</f>
        <v>0.4</v>
      </c>
      <c r="E96" s="5"/>
      <c r="F96" s="5"/>
      <c r="G96" s="5"/>
      <c r="H96" s="5"/>
    </row>
    <row r="97" spans="1:8" ht="15.75" x14ac:dyDescent="0.25">
      <c r="A97" s="47" t="s">
        <v>15</v>
      </c>
      <c r="B97" s="24" t="s">
        <v>21</v>
      </c>
      <c r="C97" s="40">
        <f>C93*C96/C$85</f>
        <v>0.25203088605453</v>
      </c>
    </row>
    <row r="98" spans="1:8" s="1" customFormat="1" ht="15.75" x14ac:dyDescent="0.25">
      <c r="A98" s="17" t="s">
        <v>14</v>
      </c>
      <c r="B98" s="6" t="s">
        <v>7</v>
      </c>
      <c r="C98" s="10">
        <f>C33</f>
        <v>257709.2079122577</v>
      </c>
      <c r="D98" s="5"/>
      <c r="E98" s="5"/>
      <c r="F98" s="5"/>
    </row>
    <row r="99" spans="1:8" ht="15.75" x14ac:dyDescent="0.25">
      <c r="A99" s="47" t="s">
        <v>15</v>
      </c>
      <c r="B99" s="24" t="s">
        <v>23</v>
      </c>
      <c r="C99" s="48">
        <f>C$89*C97</f>
        <v>64950.6800145374</v>
      </c>
    </row>
    <row r="100" spans="1:8" ht="15.75" x14ac:dyDescent="0.25">
      <c r="B100" s="20"/>
      <c r="C100" s="23"/>
    </row>
    <row r="101" spans="1:8" ht="16.5" thickBot="1" x14ac:dyDescent="0.3">
      <c r="A101" s="25" t="s">
        <v>15</v>
      </c>
      <c r="B101" s="44" t="s">
        <v>28</v>
      </c>
      <c r="C101" s="45">
        <f>IF((C99-C90)&gt;0,(C99-C90),0)</f>
        <v>7621.6126702909824</v>
      </c>
    </row>
    <row r="102" spans="1:8" s="20" customFormat="1" ht="16.5" thickTop="1" x14ac:dyDescent="0.25">
      <c r="E102" s="21"/>
      <c r="F102" s="21"/>
      <c r="G102" s="21"/>
      <c r="H102" s="21"/>
    </row>
  </sheetData>
  <mergeCells count="1">
    <mergeCell ref="A72:C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Becher</dc:creator>
  <cp:lastModifiedBy>Beth Baker</cp:lastModifiedBy>
  <dcterms:created xsi:type="dcterms:W3CDTF">2018-02-17T01:53:16Z</dcterms:created>
  <dcterms:modified xsi:type="dcterms:W3CDTF">2023-03-07T21:21:38Z</dcterms:modified>
</cp:coreProperties>
</file>